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<sst xmlns="http://schemas.openxmlformats.org/spreadsheetml/2006/main" count="300" uniqueCount="121">
  <si>
    <t>bus from Bolzano to Stockholm</t>
  </si>
  <si>
    <t>eur</t>
  </si>
  <si>
    <t>transport</t>
  </si>
  <si>
    <t>Bolzano</t>
  </si>
  <si>
    <t>EUR</t>
  </si>
  <si>
    <t>capsule hotel room</t>
  </si>
  <si>
    <t>sek</t>
  </si>
  <si>
    <t>lodging</t>
  </si>
  <si>
    <t>Stockholm</t>
  </si>
  <si>
    <t>NOK</t>
  </si>
  <si>
    <t>brygcafe</t>
  </si>
  <si>
    <t>snack</t>
  </si>
  <si>
    <t>SEK</t>
  </si>
  <si>
    <t>Uppsala</t>
  </si>
  <si>
    <t>24-hour transit card (with 20Kr card purchase)</t>
  </si>
  <si>
    <t>USD</t>
  </si>
  <si>
    <t>Thai lunch</t>
  </si>
  <si>
    <t>meal</t>
  </si>
  <si>
    <t>Iranian veg dinner</t>
  </si>
  <si>
    <t>nokzty</t>
  </si>
  <si>
    <t>Waffle cone of gelato</t>
  </si>
  <si>
    <t>sekedy</t>
  </si>
  <si>
    <t>3.5 beer from grocery</t>
  </si>
  <si>
    <t>eurzty</t>
  </si>
  <si>
    <t>ship museum</t>
  </si>
  <si>
    <t>attractions</t>
  </si>
  <si>
    <t>gbpusd</t>
  </si>
  <si>
    <t>airport bus</t>
  </si>
  <si>
    <t>eurusd</t>
  </si>
  <si>
    <t>grill fast food meal with meatballs, mashed potatoes, cranberry sauce</t>
  </si>
  <si>
    <t>yogurt, crackers and muesli</t>
  </si>
  <si>
    <t>Henan</t>
  </si>
  <si>
    <t>Flights</t>
  </si>
  <si>
    <t>hostel bed in 2-bed room</t>
  </si>
  <si>
    <t>Orust Island</t>
  </si>
  <si>
    <t>car rental</t>
  </si>
  <si>
    <t>rental</t>
  </si>
  <si>
    <t>Lodging</t>
  </si>
  <si>
    <t>veggie burrito and coffee</t>
  </si>
  <si>
    <t>Gas</t>
  </si>
  <si>
    <t>tent, two sleeping bags, two pads</t>
  </si>
  <si>
    <t>Torp</t>
  </si>
  <si>
    <t>Rental</t>
  </si>
  <si>
    <t>tolls</t>
  </si>
  <si>
    <t>nok</t>
  </si>
  <si>
    <t>Border</t>
  </si>
  <si>
    <t>Meals</t>
  </si>
  <si>
    <t>tank of gas (38l at 12.83</t>
  </si>
  <si>
    <t>gas</t>
  </si>
  <si>
    <t>Transport</t>
  </si>
  <si>
    <t>herring sandwiches and yoghurt</t>
  </si>
  <si>
    <t>Attractions</t>
  </si>
  <si>
    <t>developed campground</t>
  </si>
  <si>
    <t>Rjukan</t>
  </si>
  <si>
    <t>Tolls</t>
  </si>
  <si>
    <t>mountaintop waffle</t>
  </si>
  <si>
    <t>Gausta</t>
  </si>
  <si>
    <t>Snacks</t>
  </si>
  <si>
    <t>loaf of bread</t>
  </si>
  <si>
    <t>Total</t>
  </si>
  <si>
    <t>1/2 room at random house signed on highway</t>
  </si>
  <si>
    <t>Odda</t>
  </si>
  <si>
    <t>Chinese noodle dish</t>
  </si>
  <si>
    <t>Jondal tunnel toll</t>
  </si>
  <si>
    <t>Jondal</t>
  </si>
  <si>
    <t>Asian lunch</t>
  </si>
  <si>
    <t>Gas (15.3)</t>
  </si>
  <si>
    <t>1/2 hotel room</t>
  </si>
  <si>
    <t>Eidfjord</t>
  </si>
  <si>
    <t>tolls from eidjford to Bergen</t>
  </si>
  <si>
    <t>Bergen</t>
  </si>
  <si>
    <t>half hotel room</t>
  </si>
  <si>
    <t>Vietnamese meal</t>
  </si>
  <si>
    <t>24-hour garage parking</t>
  </si>
  <si>
    <t>Ikea meal</t>
  </si>
  <si>
    <t>national park toll road</t>
  </si>
  <si>
    <t>Lom</t>
  </si>
  <si>
    <t>white bread</t>
  </si>
  <si>
    <t>half of cabin for 4</t>
  </si>
  <si>
    <t>gas (13.8)</t>
  </si>
  <si>
    <t>road toll</t>
  </si>
  <si>
    <t>Tolls into Trondheim</t>
  </si>
  <si>
    <t>Trondheim</t>
  </si>
  <si>
    <t>Half of comfort inn with breakfast</t>
  </si>
  <si>
    <t>Pancake at food festival</t>
  </si>
  <si>
    <t>Norwegian reenactment village</t>
  </si>
  <si>
    <t>cathedral and crowned jewels admission</t>
  </si>
  <si>
    <t>fish soup</t>
  </si>
  <si>
    <t>raw vegan smoothie</t>
  </si>
  <si>
    <t>tolls to Sweden</t>
  </si>
  <si>
    <t>lunch buffet</t>
  </si>
  <si>
    <t>Storliens</t>
  </si>
  <si>
    <t>half hostel room with breakfast</t>
  </si>
  <si>
    <t>buffet lunch</t>
  </si>
  <si>
    <t>Ostersund</t>
  </si>
  <si>
    <t>bimbimbap</t>
  </si>
  <si>
    <t>Sundsvall</t>
  </si>
  <si>
    <t>licorice at 5.35/hg</t>
  </si>
  <si>
    <t>Half of Best Western hotel room with breakfast</t>
  </si>
  <si>
    <t>Soderhamn</t>
  </si>
  <si>
    <t>Ferry 2 pax and car</t>
  </si>
  <si>
    <t>Grisslehamn</t>
  </si>
  <si>
    <t>awesome ferry food - salmon + salad bar</t>
  </si>
  <si>
    <t>at sea</t>
  </si>
  <si>
    <t>gas 1.45/l</t>
  </si>
  <si>
    <t>Aland</t>
  </si>
  <si>
    <t>half 2-person cabbin</t>
  </si>
  <si>
    <t>Vardo</t>
  </si>
  <si>
    <t>taster and .4l at brewery</t>
  </si>
  <si>
    <t>bike rental 1-day</t>
  </si>
  <si>
    <t>lunch at brewery</t>
  </si>
  <si>
    <t>viking lines ferry to kapellskar bought at port</t>
  </si>
  <si>
    <t>Mariehamn</t>
  </si>
  <si>
    <t>buffet dinner on ferry</t>
  </si>
  <si>
    <t>can of beer from duty free</t>
  </si>
  <si>
    <t>parking in central Uppsala</t>
  </si>
  <si>
    <t>hostel breakfast</t>
  </si>
  <si>
    <t>gas (13.10/L)</t>
  </si>
  <si>
    <t>Persian lunch</t>
  </si>
  <si>
    <t>Bizarro museum</t>
  </si>
  <si>
    <t>Tolls Stockholm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</si>
</sst>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5">
    <font>
      <sz val="10.0"/>
      <color rgb="FF000000"/>
      <name val="Arial"/>
    </font>
    <font>
      <name val="Arial"/>
    </font>
    <font>
      <sz val="11.0"/>
      <color rgb="FF000000"/>
      <name val="Inconsolata"/>
    </font>
    <font>
      <color rgb="FF000000"/>
      <name val="Arial"/>
    </font>
    <font/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1" numFmtId="0" xfId="0" applyAlignment="1" applyFont="1">
      <alignment horizontal="right"/>
    </xf>
    <xf borderId="0" fillId="0" fontId="1" numFmtId="0" xfId="0" applyAlignment="1" applyFont="1">
      <alignment/>
    </xf>
    <xf borderId="0" fillId="0" fontId="1" numFmtId="164" xfId="0" applyAlignment="1" applyFont="1" applyNumberFormat="1">
      <alignment/>
    </xf>
    <xf borderId="0" fillId="2" fontId="2" numFmtId="164" xfId="0" applyAlignment="1" applyFill="1" applyFont="1" applyNumberFormat="1">
      <alignment horizontal="right"/>
    </xf>
    <xf borderId="0" fillId="0" fontId="1" numFmtId="0" xfId="0" applyAlignment="1" applyFont="1">
      <alignment horizontal="right"/>
    </xf>
    <xf borderId="0" fillId="0" fontId="1" numFmtId="0" xfId="0" applyAlignment="1" applyFont="1">
      <alignment/>
    </xf>
    <xf borderId="0" fillId="0" fontId="1" numFmtId="0" xfId="0" applyAlignment="1" applyFont="1">
      <alignment/>
    </xf>
    <xf borderId="0" fillId="0" fontId="1" numFmtId="164" xfId="0" applyAlignment="1" applyFont="1" applyNumberFormat="1">
      <alignment horizontal="right"/>
    </xf>
    <xf borderId="0" fillId="0" fontId="1" numFmtId="0" xfId="0" applyAlignment="1" applyFont="1">
      <alignment horizontal="right"/>
    </xf>
    <xf borderId="0" fillId="2" fontId="3" numFmtId="0" xfId="0" applyAlignment="1" applyFont="1">
      <alignment horizontal="left"/>
    </xf>
    <xf borderId="0" fillId="2" fontId="2" numFmtId="0" xfId="0" applyAlignment="1" applyFont="1">
      <alignment horizontal="right"/>
    </xf>
    <xf borderId="0" fillId="0" fontId="4" numFmtId="0" xfId="0" applyAlignment="1" applyFont="1">
      <alignment/>
    </xf>
    <xf borderId="0" fillId="2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/>
            </a:pPr>
            <a:r>
              <a:t>Total Expenses for 2 Weeks (per person): $1613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Pt>
            <c:idx val="8"/>
            <c:spPr>
              <a:solidFill>
                <a:srgbClr val="B82E2E"/>
              </a:solidFill>
            </c:spPr>
          </c:dPt>
          <c:dPt>
            <c:idx val="9"/>
            <c:spPr>
              <a:solidFill>
                <a:srgbClr val="316395"/>
              </a:solidFill>
            </c:spPr>
          </c:dPt>
          <c:dPt>
            <c:idx val="10"/>
            <c:spPr>
              <a:solidFill>
                <a:srgbClr val="994499"/>
              </a:solidFill>
            </c:spPr>
          </c:dPt>
          <c:dPt>
            <c:idx val="11"/>
            <c:spPr>
              <a:solidFill>
                <a:srgbClr val="22AA99"/>
              </a:solidFill>
            </c:spPr>
          </c:dPt>
          <c:dPt>
            <c:idx val="12"/>
            <c:spPr>
              <a:solidFill>
                <a:srgbClr val="AAAA11"/>
              </a:solidFill>
            </c:spPr>
          </c:dPt>
          <c:dPt>
            <c:idx val="13"/>
            <c:spPr>
              <a:solidFill>
                <a:srgbClr val="6633CC"/>
              </a:solidFill>
            </c:spPr>
          </c:dPt>
          <c:dPt>
            <c:idx val="14"/>
            <c:spPr>
              <a:solidFill>
                <a:srgbClr val="E67300"/>
              </a:solidFill>
            </c:spPr>
          </c:dPt>
          <c:dPt>
            <c:idx val="15"/>
            <c:spPr>
              <a:solidFill>
                <a:srgbClr val="8B0707"/>
              </a:solidFill>
            </c:spPr>
          </c:dPt>
          <c:dPt>
            <c:idx val="16"/>
            <c:spPr>
              <a:solidFill>
                <a:srgbClr val="651067"/>
              </a:solidFill>
            </c:spPr>
          </c:dPt>
          <c:dPt>
            <c:idx val="17"/>
            <c:spPr>
              <a:solidFill>
                <a:srgbClr val="329262"/>
              </a:solidFill>
            </c:spPr>
          </c:dPt>
          <c:dPt>
            <c:idx val="18"/>
            <c:spPr>
              <a:solidFill>
                <a:srgbClr val="5574A6"/>
              </a:solidFill>
            </c:spPr>
          </c:dPt>
          <c:dPt>
            <c:idx val="19"/>
            <c:spPr>
              <a:solidFill>
                <a:srgbClr val="3B3EAC"/>
              </a:solidFill>
            </c:spPr>
          </c:dPt>
          <c:dPt>
            <c:idx val="20"/>
            <c:spPr>
              <a:solidFill>
                <a:srgbClr val="B77322"/>
              </a:solidFill>
            </c:spPr>
          </c:dPt>
          <c:dPt>
            <c:idx val="21"/>
            <c:spPr>
              <a:solidFill>
                <a:srgbClr val="16D620"/>
              </a:solidFill>
            </c:spPr>
          </c:dPt>
          <c:dPt>
            <c:idx val="22"/>
            <c:spPr>
              <a:solidFill>
                <a:srgbClr val="B91383"/>
              </a:solidFill>
            </c:spPr>
          </c:dPt>
          <c:dPt>
            <c:idx val="23"/>
            <c:spPr>
              <a:solidFill>
                <a:srgbClr val="F4359E"/>
              </a:solidFill>
            </c:spPr>
          </c:dPt>
          <c:dPt>
            <c:idx val="24"/>
            <c:spPr>
              <a:solidFill>
                <a:srgbClr val="9C5935"/>
              </a:solidFill>
            </c:spPr>
          </c:dPt>
          <c:dPt>
            <c:idx val="25"/>
            <c:spPr>
              <a:solidFill>
                <a:srgbClr val="A9C413"/>
              </a:solidFill>
            </c:spPr>
          </c:dPt>
          <c:dPt>
            <c:idx val="26"/>
            <c:spPr>
              <a:solidFill>
                <a:srgbClr val="2A778D"/>
              </a:solidFill>
            </c:spPr>
          </c:dPt>
          <c:dPt>
            <c:idx val="27"/>
            <c:spPr>
              <a:solidFill>
                <a:srgbClr val="668D1C"/>
              </a:solidFill>
            </c:spPr>
          </c:dPt>
          <c:dPt>
            <c:idx val="28"/>
            <c:spPr>
              <a:solidFill>
                <a:srgbClr val="BEA413"/>
              </a:solidFill>
            </c:spPr>
          </c:dPt>
          <c:dPt>
            <c:idx val="29"/>
            <c:spPr>
              <a:solidFill>
                <a:srgbClr val="0C5922"/>
              </a:solidFill>
            </c:spPr>
          </c:dPt>
          <c:dPt>
            <c:idx val="30"/>
            <c:spPr>
              <a:solidFill>
                <a:srgbClr val="743411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Sheet1!$K$15:$K$22</c:f>
            </c:strRef>
          </c:cat>
          <c:val>
            <c:numRef>
              <c:f>Sheet1!$L$15:$L$22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7</xdr:col>
      <xdr:colOff>676275</xdr:colOff>
      <xdr:row>23</xdr:row>
      <xdr:rowOff>104775</xdr:rowOff>
    </xdr:from>
    <xdr:to>
      <xdr:col>13</xdr:col>
      <xdr:colOff>619125</xdr:colOff>
      <xdr:row>41</xdr:row>
      <xdr:rowOff>38100</xdr:rowOff>
    </xdr:to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H1" s="1"/>
      <c r="I1" s="2">
        <v>0.0</v>
      </c>
      <c r="J1" s="2" t="str">
        <f>SUMIF(E$1:E$500, "=0", G$1:G$500)</f>
        <v>134.4</v>
      </c>
      <c r="K1" s="1"/>
      <c r="L1" s="1"/>
    </row>
    <row r="2">
      <c r="A2" s="3" t="s">
        <v>0</v>
      </c>
      <c r="B2" s="4">
        <v>120.0</v>
      </c>
      <c r="C2" s="3" t="s">
        <v>1</v>
      </c>
      <c r="D2" s="3" t="s">
        <v>2</v>
      </c>
      <c r="E2" s="3">
        <v>0.0</v>
      </c>
      <c r="F2" s="3" t="s">
        <v>3</v>
      </c>
      <c r="G2" s="5" t="str">
        <f t="shared" ref="G2:G71" si="1">B2/LOOKUP(C2,K$1:K$7, L$1:L$7)</f>
        <v>$134</v>
      </c>
      <c r="H2" s="1"/>
      <c r="I2" s="2">
        <v>1.0</v>
      </c>
      <c r="J2" s="6" t="str">
        <f>SUMIF(E$1:E$500, "=1", G$1:G$500)</f>
        <v>99.59016393</v>
      </c>
      <c r="K2" s="7" t="s">
        <v>4</v>
      </c>
      <c r="L2" s="2" t="str">
        <f>1/1.12</f>
        <v>0.8928571429</v>
      </c>
    </row>
    <row r="3">
      <c r="A3" s="8" t="s">
        <v>5</v>
      </c>
      <c r="B3" s="9" t="str">
        <f>495/2</f>
        <v>$248</v>
      </c>
      <c r="C3" s="8" t="s">
        <v>6</v>
      </c>
      <c r="D3" s="8" t="s">
        <v>7</v>
      </c>
      <c r="E3" s="10">
        <v>1.0</v>
      </c>
      <c r="F3" s="11" t="s">
        <v>8</v>
      </c>
      <c r="G3" s="12" t="str">
        <f t="shared" si="1"/>
        <v>28.98126464</v>
      </c>
      <c r="H3" s="1"/>
      <c r="I3" s="2">
        <v>2.0</v>
      </c>
      <c r="J3" s="2" t="str">
        <f>SUMIF(E$1:E$500, "=2", G$1:G$500)</f>
        <v>298.8290398</v>
      </c>
      <c r="K3" s="3" t="s">
        <v>9</v>
      </c>
      <c r="L3" s="3">
        <v>8.41</v>
      </c>
    </row>
    <row r="4">
      <c r="A4" s="8" t="s">
        <v>10</v>
      </c>
      <c r="B4" s="10">
        <v>28.0</v>
      </c>
      <c r="C4" s="8" t="s">
        <v>6</v>
      </c>
      <c r="D4" s="8" t="s">
        <v>11</v>
      </c>
      <c r="E4" s="10">
        <v>1.0</v>
      </c>
      <c r="F4" s="11" t="s">
        <v>8</v>
      </c>
      <c r="G4" s="12" t="str">
        <f t="shared" si="1"/>
        <v>3.278688525</v>
      </c>
      <c r="H4" s="1"/>
      <c r="I4" s="2">
        <v>3.0</v>
      </c>
      <c r="J4" s="2" t="str">
        <f>SUMIF(E$1:E$500, "=3", G$1:G$500)</f>
        <v>233.0414055</v>
      </c>
      <c r="K4" s="13" t="s">
        <v>12</v>
      </c>
      <c r="L4" s="13">
        <v>8.54</v>
      </c>
      <c r="M4" s="13" t="s">
        <v>13</v>
      </c>
    </row>
    <row r="5">
      <c r="A5" s="8" t="s">
        <v>14</v>
      </c>
      <c r="B5" s="10">
        <v>135.0</v>
      </c>
      <c r="C5" s="8" t="s">
        <v>6</v>
      </c>
      <c r="D5" s="8" t="s">
        <v>2</v>
      </c>
      <c r="E5" s="10">
        <v>1.0</v>
      </c>
      <c r="F5" s="11" t="s">
        <v>8</v>
      </c>
      <c r="G5" s="12" t="str">
        <f t="shared" si="1"/>
        <v>15.80796253</v>
      </c>
      <c r="H5" s="1"/>
      <c r="I5" s="2">
        <v>4.0</v>
      </c>
      <c r="J5" s="2" t="str">
        <f>SUMIF(E$1:E$500, "=4", G$1:G$500)</f>
        <v>52.31866825</v>
      </c>
      <c r="K5" s="7" t="s">
        <v>15</v>
      </c>
      <c r="L5" s="2">
        <v>1.0</v>
      </c>
      <c r="N5" t="str">
        <f>1000/9.13</f>
        <v>109.5290252</v>
      </c>
    </row>
    <row r="6">
      <c r="A6" s="8" t="s">
        <v>16</v>
      </c>
      <c r="B6" s="10">
        <v>89.0</v>
      </c>
      <c r="C6" s="8" t="s">
        <v>6</v>
      </c>
      <c r="D6" s="8" t="s">
        <v>17</v>
      </c>
      <c r="E6" s="10">
        <v>1.0</v>
      </c>
      <c r="F6" s="11" t="s">
        <v>8</v>
      </c>
      <c r="G6" s="12" t="str">
        <f t="shared" si="1"/>
        <v>10.42154567</v>
      </c>
      <c r="H6" s="1"/>
      <c r="I6" s="2">
        <v>5.0</v>
      </c>
      <c r="J6" s="2" t="str">
        <f>SUMIF(E$1:E$500, "=5", G$1:G$500)</f>
        <v>64.56599287</v>
      </c>
      <c r="N6" t="str">
        <f>1000/8.54</f>
        <v>117.0960187</v>
      </c>
    </row>
    <row r="7">
      <c r="A7" s="8" t="s">
        <v>18</v>
      </c>
      <c r="B7" s="10">
        <v>170.0</v>
      </c>
      <c r="C7" s="8" t="s">
        <v>6</v>
      </c>
      <c r="D7" s="8" t="s">
        <v>17</v>
      </c>
      <c r="E7" s="10">
        <v>1.0</v>
      </c>
      <c r="F7" s="11" t="s">
        <v>8</v>
      </c>
      <c r="G7" s="12" t="str">
        <f t="shared" si="1"/>
        <v>19.90632319</v>
      </c>
      <c r="H7" s="1"/>
      <c r="I7" s="2">
        <v>6.0</v>
      </c>
      <c r="J7" s="2" t="str">
        <f>SUMIF(E$1:E$500, "=6", G$1:G$500)</f>
        <v>125.2080856</v>
      </c>
      <c r="K7" s="3" t="s">
        <v>19</v>
      </c>
      <c r="L7" s="3">
        <v>0.454</v>
      </c>
    </row>
    <row r="8">
      <c r="A8" s="8" t="s">
        <v>20</v>
      </c>
      <c r="B8" s="10">
        <v>35.0</v>
      </c>
      <c r="C8" s="8" t="s">
        <v>6</v>
      </c>
      <c r="D8" s="8" t="s">
        <v>11</v>
      </c>
      <c r="E8" s="10">
        <v>1.0</v>
      </c>
      <c r="F8" s="11" t="s">
        <v>8</v>
      </c>
      <c r="G8" s="12" t="str">
        <f t="shared" si="1"/>
        <v>4.098360656</v>
      </c>
      <c r="H8" s="1"/>
      <c r="I8" s="2">
        <v>7.0</v>
      </c>
      <c r="J8" s="2" t="str">
        <f>SUMIF(E$1:E$500, "=7", G$1:G$500)</f>
        <v>104.0428062</v>
      </c>
      <c r="K8" s="3" t="s">
        <v>21</v>
      </c>
      <c r="L8" s="3">
        <v>0.448</v>
      </c>
      <c r="N8" t="str">
        <f>500/8.54</f>
        <v>58.54800937</v>
      </c>
    </row>
    <row r="9">
      <c r="A9" s="8" t="s">
        <v>22</v>
      </c>
      <c r="B9" s="10">
        <v>16.0</v>
      </c>
      <c r="C9" s="8" t="s">
        <v>6</v>
      </c>
      <c r="D9" s="8" t="s">
        <v>11</v>
      </c>
      <c r="E9" s="10">
        <v>1.0</v>
      </c>
      <c r="F9" s="11" t="s">
        <v>8</v>
      </c>
      <c r="G9" s="12" t="str">
        <f t="shared" si="1"/>
        <v>1.8735363</v>
      </c>
      <c r="H9" s="1"/>
      <c r="I9" s="2">
        <v>8.0</v>
      </c>
      <c r="J9" s="2" t="str">
        <f>SUMIF(E$1:E$500, "=8", G$1:G$500)</f>
        <v>66.46848989</v>
      </c>
      <c r="K9" s="3" t="s">
        <v>23</v>
      </c>
      <c r="L9" s="3">
        <v>4.27</v>
      </c>
      <c r="N9" t="str">
        <f>500/8.41</f>
        <v>59.4530321</v>
      </c>
    </row>
    <row r="10">
      <c r="A10" s="8" t="s">
        <v>24</v>
      </c>
      <c r="B10" s="10">
        <v>130.0</v>
      </c>
      <c r="C10" s="8" t="s">
        <v>6</v>
      </c>
      <c r="D10" s="8" t="s">
        <v>25</v>
      </c>
      <c r="E10" s="10">
        <v>1.0</v>
      </c>
      <c r="F10" s="11" t="s">
        <v>8</v>
      </c>
      <c r="G10" s="12" t="str">
        <f t="shared" si="1"/>
        <v>15.22248244</v>
      </c>
      <c r="H10" s="1"/>
      <c r="I10" s="2">
        <v>9.0</v>
      </c>
      <c r="J10" s="2" t="str">
        <f>SUMIF(E$1:E$500, "=9", G$1:G$500)</f>
        <v>170.0901124</v>
      </c>
      <c r="K10" s="3" t="s">
        <v>26</v>
      </c>
      <c r="L10" s="3">
        <v>1.3</v>
      </c>
    </row>
    <row r="11">
      <c r="A11" s="8" t="s">
        <v>27</v>
      </c>
      <c r="B11" s="10">
        <v>139.0</v>
      </c>
      <c r="C11" s="8" t="s">
        <v>6</v>
      </c>
      <c r="D11" s="8" t="s">
        <v>2</v>
      </c>
      <c r="E11" s="10">
        <v>2.0</v>
      </c>
      <c r="F11" s="11" t="s">
        <v>8</v>
      </c>
      <c r="G11" s="12" t="str">
        <f t="shared" si="1"/>
        <v>16.2763466</v>
      </c>
      <c r="H11" s="1"/>
      <c r="I11" s="2">
        <v>10.0</v>
      </c>
      <c r="J11" s="2" t="str">
        <f>SUMIF(E$1:E$500, "=10", G$1:G$500)</f>
        <v>86.65105386</v>
      </c>
      <c r="K11" s="3" t="s">
        <v>28</v>
      </c>
      <c r="L11" s="3">
        <v>1.1</v>
      </c>
    </row>
    <row r="12">
      <c r="A12" s="8" t="s">
        <v>29</v>
      </c>
      <c r="B12" s="10">
        <v>49.0</v>
      </c>
      <c r="C12" s="8" t="s">
        <v>6</v>
      </c>
      <c r="D12" s="8" t="s">
        <v>17</v>
      </c>
      <c r="E12" s="10">
        <v>2.0</v>
      </c>
      <c r="F12" s="11" t="s">
        <v>8</v>
      </c>
      <c r="G12" s="12" t="str">
        <f t="shared" si="1"/>
        <v>5.737704918</v>
      </c>
      <c r="H12" s="1"/>
      <c r="I12" s="2">
        <v>11.0</v>
      </c>
      <c r="J12" s="2" t="str">
        <f>SUMIF(E$1:E$500, "=11", G$1:G$500)</f>
        <v>155.0114735</v>
      </c>
      <c r="K12" s="1"/>
      <c r="L12" s="1"/>
    </row>
    <row r="13">
      <c r="A13" s="8" t="s">
        <v>30</v>
      </c>
      <c r="B13" s="10">
        <v>44.0</v>
      </c>
      <c r="C13" s="8" t="s">
        <v>6</v>
      </c>
      <c r="D13" s="8" t="s">
        <v>17</v>
      </c>
      <c r="E13" s="10">
        <v>2.0</v>
      </c>
      <c r="F13" s="11" t="s">
        <v>31</v>
      </c>
      <c r="G13" s="12" t="str">
        <f t="shared" si="1"/>
        <v>5.152224824</v>
      </c>
      <c r="H13" s="1"/>
      <c r="I13" s="6">
        <v>12.0</v>
      </c>
      <c r="J13" s="2" t="str">
        <f>SUMIF(E$1:E$500, "=12", G$1:G$500)</f>
        <v>103.6331616</v>
      </c>
      <c r="K13" s="7" t="s">
        <v>32</v>
      </c>
      <c r="L13" s="12" t="str">
        <f>SUMIF(D$1:D$500, "=tickets", G$1:G$500)</f>
        <v>0</v>
      </c>
    </row>
    <row r="14">
      <c r="A14" s="8" t="s">
        <v>33</v>
      </c>
      <c r="B14" s="10">
        <v>325.0</v>
      </c>
      <c r="C14" s="8" t="s">
        <v>6</v>
      </c>
      <c r="D14" s="8" t="s">
        <v>7</v>
      </c>
      <c r="E14" s="10">
        <v>2.0</v>
      </c>
      <c r="F14" s="11" t="s">
        <v>34</v>
      </c>
      <c r="G14" s="12" t="str">
        <f t="shared" si="1"/>
        <v>38.05620609</v>
      </c>
      <c r="H14" s="1"/>
      <c r="I14" s="6">
        <v>13.0</v>
      </c>
      <c r="J14" s="2" t="str">
        <f>SUMIF(E$1:E$500, "=13", G$1:G$500)</f>
        <v>68.85245902</v>
      </c>
    </row>
    <row r="15">
      <c r="A15" s="8" t="s">
        <v>35</v>
      </c>
      <c r="B15" s="10">
        <v>1995.0</v>
      </c>
      <c r="C15" s="8" t="s">
        <v>6</v>
      </c>
      <c r="D15" s="8" t="s">
        <v>36</v>
      </c>
      <c r="E15" s="10">
        <v>2.0</v>
      </c>
      <c r="F15" s="8" t="s">
        <v>8</v>
      </c>
      <c r="G15" s="12" t="str">
        <f t="shared" si="1"/>
        <v>233.6065574</v>
      </c>
      <c r="H15" s="1"/>
      <c r="I15" s="6"/>
      <c r="J15" s="2"/>
      <c r="K15" s="7" t="s">
        <v>37</v>
      </c>
      <c r="L15" s="12" t="str">
        <f>SUMIF(D$1:D$500, "=lodging", G$1:G$500)</f>
        <v>577.7937258</v>
      </c>
    </row>
    <row r="16">
      <c r="A16" s="8" t="s">
        <v>38</v>
      </c>
      <c r="B16" s="10">
        <v>135.0</v>
      </c>
      <c r="C16" s="8" t="s">
        <v>6</v>
      </c>
      <c r="D16" s="8" t="s">
        <v>17</v>
      </c>
      <c r="E16" s="10">
        <v>3.0</v>
      </c>
      <c r="F16" s="8" t="s">
        <v>31</v>
      </c>
      <c r="G16" s="12" t="str">
        <f t="shared" si="1"/>
        <v>15.80796253</v>
      </c>
      <c r="H16" s="1"/>
      <c r="I16" s="6"/>
      <c r="J16" s="2"/>
      <c r="K16" s="13" t="s">
        <v>39</v>
      </c>
      <c r="L16" s="14" t="str">
        <f>SUMIF(D$1:D$500, "=gas", G$1:G$500)</f>
        <v>291.675926</v>
      </c>
    </row>
    <row r="17">
      <c r="A17" s="8" t="s">
        <v>40</v>
      </c>
      <c r="B17" s="10">
        <v>1060.0</v>
      </c>
      <c r="C17" s="8" t="s">
        <v>6</v>
      </c>
      <c r="D17" s="13" t="s">
        <v>7</v>
      </c>
      <c r="E17" s="10">
        <v>3.0</v>
      </c>
      <c r="F17" s="8" t="s">
        <v>41</v>
      </c>
      <c r="G17" s="12" t="str">
        <f t="shared" si="1"/>
        <v>124.1217799</v>
      </c>
      <c r="H17" s="1"/>
      <c r="I17" s="1"/>
      <c r="J17" s="1"/>
      <c r="K17" s="13" t="s">
        <v>42</v>
      </c>
      <c r="L17" s="14" t="str">
        <f>SUMIF(D$1:D$500, "=rental", G$1:G$500)</f>
        <v>233.6065574</v>
      </c>
    </row>
    <row r="18">
      <c r="A18" s="8" t="s">
        <v>43</v>
      </c>
      <c r="B18" s="10">
        <v>90.0</v>
      </c>
      <c r="C18" s="8" t="s">
        <v>44</v>
      </c>
      <c r="D18" s="13" t="s">
        <v>43</v>
      </c>
      <c r="E18" s="10">
        <v>3.0</v>
      </c>
      <c r="F18" s="8" t="s">
        <v>45</v>
      </c>
      <c r="G18" s="12" t="str">
        <f t="shared" si="1"/>
        <v>10.70154578</v>
      </c>
      <c r="H18" s="1"/>
      <c r="I18" s="1"/>
      <c r="J18" s="1"/>
      <c r="K18" s="7" t="s">
        <v>46</v>
      </c>
      <c r="L18" s="2" t="str">
        <f>SUMIF(D$1:D$500, "=meal", G$1:G$500)</f>
        <v>209.6212226</v>
      </c>
    </row>
    <row r="19">
      <c r="A19" s="8" t="s">
        <v>47</v>
      </c>
      <c r="B19" s="10">
        <v>496.0</v>
      </c>
      <c r="C19" s="8" t="s">
        <v>6</v>
      </c>
      <c r="D19" s="13" t="s">
        <v>48</v>
      </c>
      <c r="E19" s="10">
        <v>3.0</v>
      </c>
      <c r="F19" s="8" t="s">
        <v>45</v>
      </c>
      <c r="G19" s="12" t="str">
        <f t="shared" si="1"/>
        <v>58.07962529</v>
      </c>
      <c r="H19" s="1"/>
      <c r="I19" s="1"/>
      <c r="J19" s="1"/>
      <c r="K19" s="7" t="s">
        <v>49</v>
      </c>
      <c r="L19" s="2" t="str">
        <f>SUMIF(D$1:D$500, "=transport", G$1:G$500) / 2</f>
        <v>148.7378026</v>
      </c>
    </row>
    <row r="20">
      <c r="A20" s="8" t="s">
        <v>50</v>
      </c>
      <c r="B20" s="10">
        <v>25.0</v>
      </c>
      <c r="C20" s="8" t="s">
        <v>6</v>
      </c>
      <c r="D20" s="13" t="s">
        <v>17</v>
      </c>
      <c r="E20" s="10">
        <v>3.0</v>
      </c>
      <c r="F20" s="8" t="s">
        <v>45</v>
      </c>
      <c r="G20" s="12" t="str">
        <f t="shared" si="1"/>
        <v>2.927400468</v>
      </c>
      <c r="H20" s="1"/>
      <c r="I20" s="1"/>
      <c r="J20" s="1"/>
      <c r="K20" s="7" t="s">
        <v>51</v>
      </c>
      <c r="L20" s="2" t="str">
        <f>SUMIF(D$1:D$500, "=attractions", G$1:G$500)</f>
        <v>78.23628456</v>
      </c>
    </row>
    <row r="21">
      <c r="A21" s="8" t="s">
        <v>52</v>
      </c>
      <c r="B21" s="10">
        <v>180.0</v>
      </c>
      <c r="C21" s="8" t="s">
        <v>44</v>
      </c>
      <c r="D21" s="13" t="s">
        <v>7</v>
      </c>
      <c r="E21" s="10">
        <v>3.0</v>
      </c>
      <c r="F21" s="8" t="s">
        <v>53</v>
      </c>
      <c r="G21" s="12" t="str">
        <f t="shared" si="1"/>
        <v>21.40309156</v>
      </c>
      <c r="H21" s="1"/>
      <c r="I21" s="1"/>
      <c r="J21" s="1"/>
      <c r="K21" s="13" t="s">
        <v>54</v>
      </c>
      <c r="L21" s="14" t="str">
        <f>SUMIF(D$1:D$500, "=tolls", G$1:G$500)</f>
        <v>49.05390315</v>
      </c>
    </row>
    <row r="22">
      <c r="A22" s="8" t="s">
        <v>55</v>
      </c>
      <c r="B22" s="10">
        <v>40.0</v>
      </c>
      <c r="C22" s="8" t="s">
        <v>44</v>
      </c>
      <c r="D22" s="13" t="s">
        <v>17</v>
      </c>
      <c r="E22" s="10">
        <v>4.0</v>
      </c>
      <c r="F22" s="8" t="s">
        <v>56</v>
      </c>
      <c r="G22" s="12" t="str">
        <f t="shared" si="1"/>
        <v>4.756242568</v>
      </c>
      <c r="H22" s="1"/>
      <c r="I22" s="1"/>
      <c r="J22" s="1"/>
      <c r="K22" s="7" t="s">
        <v>57</v>
      </c>
      <c r="L22" s="2" t="str">
        <f>SUMIF(D$1:D$500, "=snack", G$1:G$500)</f>
        <v>25.23968778</v>
      </c>
    </row>
    <row r="23">
      <c r="A23" s="8" t="s">
        <v>58</v>
      </c>
      <c r="B23" s="10">
        <v>21.0</v>
      </c>
      <c r="C23" s="8" t="s">
        <v>44</v>
      </c>
      <c r="D23" s="13" t="s">
        <v>17</v>
      </c>
      <c r="E23" s="10">
        <v>4.0</v>
      </c>
      <c r="F23" s="8" t="s">
        <v>53</v>
      </c>
      <c r="G23" s="12" t="str">
        <f t="shared" si="1"/>
        <v>2.497027348</v>
      </c>
      <c r="K23" s="7" t="s">
        <v>59</v>
      </c>
      <c r="L23" s="2" t="str">
        <f>SUM(L13:L22)</f>
        <v>1613.96511</v>
      </c>
    </row>
    <row r="24">
      <c r="A24" s="13" t="s">
        <v>60</v>
      </c>
      <c r="B24" s="13" t="str">
        <f>600/2</f>
        <v>300</v>
      </c>
      <c r="C24" s="13" t="s">
        <v>44</v>
      </c>
      <c r="D24" s="13" t="s">
        <v>7</v>
      </c>
      <c r="E24" s="13">
        <v>4.0</v>
      </c>
      <c r="F24" s="13" t="s">
        <v>61</v>
      </c>
      <c r="G24" s="12" t="str">
        <f t="shared" si="1"/>
        <v>35.67181926</v>
      </c>
      <c r="K24" s="7"/>
      <c r="L24" s="2"/>
    </row>
    <row r="25">
      <c r="A25" s="13" t="s">
        <v>62</v>
      </c>
      <c r="B25" s="13">
        <v>79.0</v>
      </c>
      <c r="C25" s="13" t="s">
        <v>44</v>
      </c>
      <c r="D25" s="13" t="s">
        <v>17</v>
      </c>
      <c r="E25" s="13">
        <v>4.0</v>
      </c>
      <c r="F25" s="13" t="s">
        <v>61</v>
      </c>
      <c r="G25" s="12" t="str">
        <f t="shared" si="1"/>
        <v>9.393579073</v>
      </c>
      <c r="K25" s="7"/>
      <c r="L25" s="2"/>
    </row>
    <row r="26">
      <c r="A26" s="13" t="s">
        <v>63</v>
      </c>
      <c r="B26" s="13">
        <v>100.0</v>
      </c>
      <c r="C26" s="13" t="s">
        <v>44</v>
      </c>
      <c r="D26" s="13" t="s">
        <v>43</v>
      </c>
      <c r="E26" s="13">
        <v>5.0</v>
      </c>
      <c r="F26" s="13" t="s">
        <v>64</v>
      </c>
      <c r="G26" s="12" t="str">
        <f t="shared" si="1"/>
        <v>11.89060642</v>
      </c>
    </row>
    <row r="27">
      <c r="A27" s="13" t="s">
        <v>65</v>
      </c>
      <c r="B27" s="13">
        <v>100.0</v>
      </c>
      <c r="C27" s="13" t="s">
        <v>44</v>
      </c>
      <c r="D27" s="13" t="s">
        <v>17</v>
      </c>
      <c r="E27" s="13">
        <v>5.0</v>
      </c>
      <c r="F27" s="13" t="s">
        <v>61</v>
      </c>
      <c r="G27" s="12" t="str">
        <f t="shared" si="1"/>
        <v>11.89060642</v>
      </c>
    </row>
    <row r="28">
      <c r="A28" s="13" t="s">
        <v>66</v>
      </c>
      <c r="B28" s="13">
        <v>143.0</v>
      </c>
      <c r="C28" s="13" t="s">
        <v>44</v>
      </c>
      <c r="D28" s="13" t="s">
        <v>2</v>
      </c>
      <c r="E28" s="13">
        <v>5.0</v>
      </c>
      <c r="F28" s="13" t="s">
        <v>61</v>
      </c>
      <c r="G28" s="12" t="str">
        <f t="shared" si="1"/>
        <v>17.00356718</v>
      </c>
    </row>
    <row r="29">
      <c r="A29" s="13" t="s">
        <v>67</v>
      </c>
      <c r="B29" t="str">
        <f>400/2</f>
        <v>200</v>
      </c>
      <c r="C29" s="13" t="s">
        <v>44</v>
      </c>
      <c r="D29" s="13" t="s">
        <v>7</v>
      </c>
      <c r="E29" s="13">
        <v>5.0</v>
      </c>
      <c r="F29" s="13" t="s">
        <v>68</v>
      </c>
      <c r="G29" s="12" t="str">
        <f t="shared" si="1"/>
        <v>23.78121284</v>
      </c>
    </row>
    <row r="30">
      <c r="A30" s="13" t="s">
        <v>69</v>
      </c>
      <c r="B30" s="13">
        <v>300.0</v>
      </c>
      <c r="C30" s="13" t="s">
        <v>44</v>
      </c>
      <c r="D30" s="13" t="s">
        <v>2</v>
      </c>
      <c r="E30" s="13">
        <v>6.0</v>
      </c>
      <c r="F30" s="13" t="s">
        <v>70</v>
      </c>
      <c r="G30" s="12" t="str">
        <f t="shared" si="1"/>
        <v>35.67181926</v>
      </c>
    </row>
    <row r="31">
      <c r="A31" s="13" t="s">
        <v>71</v>
      </c>
      <c r="B31" t="str">
        <f>750/2</f>
        <v>375</v>
      </c>
      <c r="C31" s="13" t="s">
        <v>44</v>
      </c>
      <c r="D31" s="13" t="s">
        <v>7</v>
      </c>
      <c r="E31" s="13">
        <v>6.0</v>
      </c>
      <c r="F31" s="13" t="s">
        <v>70</v>
      </c>
      <c r="G31" s="12" t="str">
        <f t="shared" si="1"/>
        <v>44.58977408</v>
      </c>
    </row>
    <row r="32">
      <c r="A32" s="13" t="s">
        <v>72</v>
      </c>
      <c r="B32" s="13">
        <v>139.0</v>
      </c>
      <c r="C32" s="13" t="s">
        <v>44</v>
      </c>
      <c r="D32" s="13" t="s">
        <v>17</v>
      </c>
      <c r="E32" s="13">
        <v>6.0</v>
      </c>
      <c r="F32" s="13" t="s">
        <v>70</v>
      </c>
      <c r="G32" s="12" t="str">
        <f t="shared" si="1"/>
        <v>16.52794293</v>
      </c>
    </row>
    <row r="33">
      <c r="A33" s="13" t="s">
        <v>73</v>
      </c>
      <c r="B33" s="13">
        <v>150.0</v>
      </c>
      <c r="C33" s="13" t="s">
        <v>44</v>
      </c>
      <c r="D33" s="13" t="s">
        <v>2</v>
      </c>
      <c r="E33" s="13">
        <v>6.0</v>
      </c>
      <c r="F33" s="13" t="s">
        <v>70</v>
      </c>
      <c r="G33" s="12" t="str">
        <f t="shared" si="1"/>
        <v>17.83590963</v>
      </c>
    </row>
    <row r="34">
      <c r="A34" s="13" t="s">
        <v>74</v>
      </c>
      <c r="B34" s="13">
        <v>89.0</v>
      </c>
      <c r="C34" s="13" t="s">
        <v>44</v>
      </c>
      <c r="D34" s="13" t="s">
        <v>17</v>
      </c>
      <c r="E34" s="13">
        <v>6.0</v>
      </c>
      <c r="F34" s="13" t="s">
        <v>70</v>
      </c>
      <c r="G34" s="12" t="str">
        <f t="shared" si="1"/>
        <v>10.58263971</v>
      </c>
    </row>
    <row r="35">
      <c r="A35" s="13" t="s">
        <v>75</v>
      </c>
      <c r="B35" s="13">
        <v>80.0</v>
      </c>
      <c r="C35" s="13" t="s">
        <v>44</v>
      </c>
      <c r="D35" s="13" t="s">
        <v>43</v>
      </c>
      <c r="E35" s="13">
        <v>7.0</v>
      </c>
      <c r="F35" s="13" t="s">
        <v>76</v>
      </c>
      <c r="G35" s="12" t="str">
        <f t="shared" si="1"/>
        <v>9.512485137</v>
      </c>
    </row>
    <row r="36">
      <c r="A36" s="13" t="s">
        <v>77</v>
      </c>
      <c r="B36" s="13">
        <v>9.0</v>
      </c>
      <c r="C36" s="13" t="s">
        <v>44</v>
      </c>
      <c r="D36" s="13" t="s">
        <v>17</v>
      </c>
      <c r="E36" s="13">
        <v>7.0</v>
      </c>
      <c r="F36" s="13" t="s">
        <v>76</v>
      </c>
      <c r="G36" s="12" t="str">
        <f t="shared" si="1"/>
        <v>1.070154578</v>
      </c>
    </row>
    <row r="37">
      <c r="A37" s="13" t="s">
        <v>78</v>
      </c>
      <c r="B37" s="13" t="str">
        <f>350/2</f>
        <v>175</v>
      </c>
      <c r="C37" s="13" t="s">
        <v>44</v>
      </c>
      <c r="D37" s="13" t="s">
        <v>7</v>
      </c>
      <c r="E37" s="13">
        <v>7.0</v>
      </c>
      <c r="F37" s="13" t="s">
        <v>76</v>
      </c>
      <c r="G37" s="12" t="str">
        <f t="shared" si="1"/>
        <v>20.80856124</v>
      </c>
    </row>
    <row r="38">
      <c r="A38" s="13" t="s">
        <v>79</v>
      </c>
      <c r="B38" s="13">
        <v>568.0</v>
      </c>
      <c r="C38" s="13" t="s">
        <v>44</v>
      </c>
      <c r="D38" s="13" t="s">
        <v>48</v>
      </c>
      <c r="E38" s="13">
        <v>7.0</v>
      </c>
      <c r="F38" s="13" t="s">
        <v>76</v>
      </c>
      <c r="G38" s="12" t="str">
        <f t="shared" si="1"/>
        <v>67.53864447</v>
      </c>
    </row>
    <row r="39">
      <c r="A39" s="13" t="s">
        <v>80</v>
      </c>
      <c r="B39" s="13">
        <v>43.0</v>
      </c>
      <c r="C39" s="13" t="s">
        <v>44</v>
      </c>
      <c r="D39" s="13" t="s">
        <v>43</v>
      </c>
      <c r="E39" s="13">
        <v>7.0</v>
      </c>
      <c r="F39" s="13" t="s">
        <v>76</v>
      </c>
      <c r="G39" s="12" t="str">
        <f t="shared" si="1"/>
        <v>5.112960761</v>
      </c>
    </row>
    <row r="40">
      <c r="A40" s="13" t="s">
        <v>81</v>
      </c>
      <c r="B40" s="13">
        <v>40.0</v>
      </c>
      <c r="C40" s="13" t="s">
        <v>44</v>
      </c>
      <c r="D40" s="13" t="s">
        <v>43</v>
      </c>
      <c r="E40" s="13">
        <v>8.0</v>
      </c>
      <c r="F40" s="13" t="s">
        <v>82</v>
      </c>
      <c r="G40" s="12" t="str">
        <f t="shared" si="1"/>
        <v>4.756242568</v>
      </c>
    </row>
    <row r="41">
      <c r="A41" s="13" t="s">
        <v>83</v>
      </c>
      <c r="B41" t="str">
        <f>960/2</f>
        <v>480</v>
      </c>
      <c r="C41" s="13" t="s">
        <v>44</v>
      </c>
      <c r="D41" s="13" t="s">
        <v>7</v>
      </c>
      <c r="E41" s="13">
        <v>8.0</v>
      </c>
      <c r="F41" s="11" t="s">
        <v>82</v>
      </c>
      <c r="G41" s="12" t="str">
        <f t="shared" si="1"/>
        <v>57.07491082</v>
      </c>
    </row>
    <row r="42">
      <c r="A42" s="13" t="s">
        <v>84</v>
      </c>
      <c r="B42" s="13">
        <v>39.0</v>
      </c>
      <c r="C42" s="13" t="s">
        <v>44</v>
      </c>
      <c r="D42" s="13" t="s">
        <v>17</v>
      </c>
      <c r="E42" s="13">
        <v>8.0</v>
      </c>
      <c r="F42" s="11" t="s">
        <v>82</v>
      </c>
      <c r="G42" s="12" t="str">
        <f t="shared" si="1"/>
        <v>4.637336504</v>
      </c>
    </row>
    <row r="43">
      <c r="A43" s="13" t="s">
        <v>85</v>
      </c>
      <c r="B43" s="13">
        <v>150.0</v>
      </c>
      <c r="C43" s="13" t="s">
        <v>44</v>
      </c>
      <c r="D43" s="13" t="s">
        <v>25</v>
      </c>
      <c r="E43" s="13">
        <v>9.0</v>
      </c>
      <c r="F43" s="13" t="s">
        <v>82</v>
      </c>
      <c r="G43" s="12" t="str">
        <f t="shared" si="1"/>
        <v>17.83590963</v>
      </c>
    </row>
    <row r="44">
      <c r="A44" s="13" t="s">
        <v>86</v>
      </c>
      <c r="B44" s="13">
        <v>180.0</v>
      </c>
      <c r="C44" s="13" t="s">
        <v>44</v>
      </c>
      <c r="D44" s="13" t="s">
        <v>25</v>
      </c>
      <c r="E44" s="13">
        <v>9.0</v>
      </c>
      <c r="F44" s="13" t="s">
        <v>82</v>
      </c>
      <c r="G44" s="12" t="str">
        <f t="shared" si="1"/>
        <v>21.40309156</v>
      </c>
    </row>
    <row r="45">
      <c r="A45" s="13" t="s">
        <v>87</v>
      </c>
      <c r="B45" s="13">
        <v>35.0</v>
      </c>
      <c r="C45" s="13" t="s">
        <v>44</v>
      </c>
      <c r="D45" s="13" t="s">
        <v>17</v>
      </c>
      <c r="E45" s="13">
        <v>9.0</v>
      </c>
      <c r="F45" s="13" t="s">
        <v>82</v>
      </c>
      <c r="G45" s="12" t="str">
        <f t="shared" si="1"/>
        <v>4.161712247</v>
      </c>
    </row>
    <row r="46">
      <c r="A46" s="13" t="s">
        <v>88</v>
      </c>
      <c r="B46" s="13">
        <v>30.0</v>
      </c>
      <c r="C46" s="13" t="s">
        <v>44</v>
      </c>
      <c r="D46" s="13" t="s">
        <v>11</v>
      </c>
      <c r="E46" s="13">
        <v>9.0</v>
      </c>
      <c r="F46" s="13" t="s">
        <v>82</v>
      </c>
      <c r="G46" s="12" t="str">
        <f t="shared" si="1"/>
        <v>3.567181926</v>
      </c>
    </row>
    <row r="47">
      <c r="A47" s="13" t="s">
        <v>89</v>
      </c>
      <c r="B47" s="13">
        <v>30.0</v>
      </c>
      <c r="C47" s="13" t="s">
        <v>44</v>
      </c>
      <c r="D47" s="13" t="s">
        <v>43</v>
      </c>
      <c r="E47" s="13">
        <v>9.0</v>
      </c>
      <c r="F47" s="13" t="s">
        <v>82</v>
      </c>
      <c r="G47" s="12" t="str">
        <f t="shared" si="1"/>
        <v>3.567181926</v>
      </c>
    </row>
    <row r="48">
      <c r="A48" s="13" t="s">
        <v>90</v>
      </c>
      <c r="B48" s="13">
        <v>96.0</v>
      </c>
      <c r="C48" s="13" t="s">
        <v>6</v>
      </c>
      <c r="D48" s="13" t="s">
        <v>17</v>
      </c>
      <c r="E48" s="13">
        <v>9.0</v>
      </c>
      <c r="F48" s="13" t="s">
        <v>91</v>
      </c>
      <c r="G48" s="12" t="str">
        <f t="shared" si="1"/>
        <v>11.2412178</v>
      </c>
    </row>
    <row r="49">
      <c r="A49" s="13" t="s">
        <v>92</v>
      </c>
      <c r="B49" t="str">
        <f>780/2</f>
        <v>390</v>
      </c>
      <c r="C49" s="13" t="s">
        <v>6</v>
      </c>
      <c r="D49" s="13" t="s">
        <v>7</v>
      </c>
      <c r="E49" s="13">
        <v>9.0</v>
      </c>
      <c r="F49" s="13" t="s">
        <v>91</v>
      </c>
      <c r="G49" s="12" t="str">
        <f t="shared" si="1"/>
        <v>45.66744731</v>
      </c>
    </row>
    <row r="50">
      <c r="A50" s="13" t="s">
        <v>48</v>
      </c>
      <c r="B50" s="13">
        <v>535.0</v>
      </c>
      <c r="C50" s="13" t="s">
        <v>6</v>
      </c>
      <c r="D50" s="13" t="s">
        <v>48</v>
      </c>
      <c r="E50" s="13">
        <v>9.0</v>
      </c>
      <c r="F50" s="13" t="s">
        <v>91</v>
      </c>
      <c r="G50" s="12" t="str">
        <f t="shared" si="1"/>
        <v>62.64637002</v>
      </c>
    </row>
    <row r="51">
      <c r="A51" s="13" t="s">
        <v>93</v>
      </c>
      <c r="B51" s="13">
        <v>85.0</v>
      </c>
      <c r="C51" s="13" t="s">
        <v>6</v>
      </c>
      <c r="D51" s="13" t="s">
        <v>17</v>
      </c>
      <c r="E51" s="13">
        <v>10.0</v>
      </c>
      <c r="F51" s="13" t="s">
        <v>94</v>
      </c>
      <c r="G51" s="12" t="str">
        <f t="shared" si="1"/>
        <v>9.953161593</v>
      </c>
    </row>
    <row r="52">
      <c r="A52" s="13" t="s">
        <v>95</v>
      </c>
      <c r="B52" s="13">
        <v>99.0</v>
      </c>
      <c r="C52" s="13" t="s">
        <v>6</v>
      </c>
      <c r="D52" s="13" t="s">
        <v>17</v>
      </c>
      <c r="E52" s="13">
        <v>10.0</v>
      </c>
      <c r="F52" s="13" t="s">
        <v>96</v>
      </c>
      <c r="G52" s="12" t="str">
        <f t="shared" si="1"/>
        <v>11.59250585</v>
      </c>
    </row>
    <row r="53">
      <c r="A53" s="13" t="s">
        <v>97</v>
      </c>
      <c r="B53" s="13">
        <v>11.0</v>
      </c>
      <c r="C53" s="13" t="s">
        <v>6</v>
      </c>
      <c r="D53" s="13" t="s">
        <v>11</v>
      </c>
      <c r="E53" s="13">
        <v>10.0</v>
      </c>
      <c r="F53" s="13" t="s">
        <v>91</v>
      </c>
      <c r="G53" s="12" t="str">
        <f t="shared" si="1"/>
        <v>1.288056206</v>
      </c>
    </row>
    <row r="54">
      <c r="A54" s="13" t="s">
        <v>98</v>
      </c>
      <c r="B54" t="str">
        <f>1090/2</f>
        <v>545</v>
      </c>
      <c r="C54" s="13" t="s">
        <v>6</v>
      </c>
      <c r="D54" s="13" t="s">
        <v>7</v>
      </c>
      <c r="E54" s="13">
        <v>10.0</v>
      </c>
      <c r="F54" s="13" t="s">
        <v>99</v>
      </c>
      <c r="G54" s="12" t="str">
        <f t="shared" si="1"/>
        <v>63.81733021</v>
      </c>
    </row>
    <row r="55">
      <c r="A55" s="13" t="s">
        <v>100</v>
      </c>
      <c r="B55" s="13">
        <v>25.0</v>
      </c>
      <c r="C55" s="13" t="s">
        <v>1</v>
      </c>
      <c r="D55" s="13" t="s">
        <v>2</v>
      </c>
      <c r="E55" s="13">
        <v>11.0</v>
      </c>
      <c r="F55" s="13" t="s">
        <v>101</v>
      </c>
      <c r="G55" s="12" t="str">
        <f t="shared" si="1"/>
        <v>28</v>
      </c>
    </row>
    <row r="56">
      <c r="A56" s="13" t="s">
        <v>102</v>
      </c>
      <c r="B56" s="13">
        <v>82.0</v>
      </c>
      <c r="C56" s="13" t="s">
        <v>6</v>
      </c>
      <c r="D56" s="13" t="s">
        <v>17</v>
      </c>
      <c r="E56" s="13">
        <v>11.0</v>
      </c>
      <c r="F56" s="13" t="s">
        <v>103</v>
      </c>
      <c r="G56" s="12" t="str">
        <f t="shared" si="1"/>
        <v>9.601873536</v>
      </c>
    </row>
    <row r="57">
      <c r="A57" s="13" t="s">
        <v>104</v>
      </c>
      <c r="B57" s="13">
        <v>57.83</v>
      </c>
      <c r="C57" s="13" t="s">
        <v>1</v>
      </c>
      <c r="D57" s="13" t="s">
        <v>48</v>
      </c>
      <c r="E57" s="13">
        <v>11.0</v>
      </c>
      <c r="F57" s="13" t="s">
        <v>105</v>
      </c>
      <c r="G57" s="12" t="str">
        <f t="shared" si="1"/>
        <v>64.7696</v>
      </c>
    </row>
    <row r="58">
      <c r="A58" s="13" t="s">
        <v>106</v>
      </c>
      <c r="B58" t="str">
        <f>44/2</f>
        <v>22</v>
      </c>
      <c r="C58" s="13" t="s">
        <v>1</v>
      </c>
      <c r="D58" s="13" t="s">
        <v>7</v>
      </c>
      <c r="E58" s="13">
        <v>11.0</v>
      </c>
      <c r="F58" s="13" t="s">
        <v>107</v>
      </c>
      <c r="G58" s="12" t="str">
        <f t="shared" si="1"/>
        <v>24.64</v>
      </c>
    </row>
    <row r="59">
      <c r="A59" s="13" t="s">
        <v>108</v>
      </c>
      <c r="B59" s="13">
        <v>9.0</v>
      </c>
      <c r="C59" s="13" t="s">
        <v>1</v>
      </c>
      <c r="D59" s="13" t="s">
        <v>11</v>
      </c>
      <c r="E59" s="13">
        <v>11.0</v>
      </c>
      <c r="F59" s="13" t="s">
        <v>105</v>
      </c>
      <c r="G59" s="12" t="str">
        <f t="shared" si="1"/>
        <v>10.08</v>
      </c>
    </row>
    <row r="60">
      <c r="A60" s="13" t="s">
        <v>109</v>
      </c>
      <c r="B60" s="13">
        <v>16.0</v>
      </c>
      <c r="C60" s="13" t="s">
        <v>1</v>
      </c>
      <c r="D60" s="13" t="s">
        <v>25</v>
      </c>
      <c r="E60" s="13">
        <v>11.0</v>
      </c>
      <c r="F60" s="13" t="s">
        <v>107</v>
      </c>
      <c r="G60" s="12" t="str">
        <f t="shared" si="1"/>
        <v>17.92</v>
      </c>
    </row>
    <row r="61">
      <c r="A61" s="13" t="s">
        <v>110</v>
      </c>
      <c r="B61" s="13">
        <v>10.0</v>
      </c>
      <c r="C61" s="13" t="s">
        <v>1</v>
      </c>
      <c r="D61" s="13" t="s">
        <v>17</v>
      </c>
      <c r="E61" s="13">
        <v>12.0</v>
      </c>
      <c r="F61" s="13" t="s">
        <v>105</v>
      </c>
      <c r="G61" s="12" t="str">
        <f t="shared" si="1"/>
        <v>11.2</v>
      </c>
    </row>
    <row r="62">
      <c r="A62" s="13" t="s">
        <v>111</v>
      </c>
      <c r="B62" s="13">
        <v>29.0</v>
      </c>
      <c r="C62" s="13" t="s">
        <v>1</v>
      </c>
      <c r="D62" s="13" t="s">
        <v>2</v>
      </c>
      <c r="E62" s="13">
        <v>12.0</v>
      </c>
      <c r="F62" s="13" t="s">
        <v>112</v>
      </c>
      <c r="G62" s="12" t="str">
        <f t="shared" si="1"/>
        <v>32.48</v>
      </c>
    </row>
    <row r="63">
      <c r="A63" s="13" t="s">
        <v>113</v>
      </c>
      <c r="B63" s="13">
        <v>83.0</v>
      </c>
      <c r="C63" s="13" t="s">
        <v>6</v>
      </c>
      <c r="D63" s="13" t="s">
        <v>17</v>
      </c>
      <c r="E63" s="13">
        <v>12.0</v>
      </c>
      <c r="F63" s="13" t="s">
        <v>103</v>
      </c>
      <c r="G63" s="12" t="str">
        <f t="shared" si="1"/>
        <v>9.718969555</v>
      </c>
    </row>
    <row r="64">
      <c r="A64" s="13" t="s">
        <v>114</v>
      </c>
      <c r="B64" s="13">
        <v>9.0</v>
      </c>
      <c r="C64" s="13" t="s">
        <v>6</v>
      </c>
      <c r="D64" s="13" t="s">
        <v>11</v>
      </c>
      <c r="E64" s="13">
        <v>12.0</v>
      </c>
      <c r="F64" s="13" t="s">
        <v>103</v>
      </c>
      <c r="G64" s="12" t="str">
        <f t="shared" si="1"/>
        <v>1.053864169</v>
      </c>
    </row>
    <row r="65">
      <c r="A65" s="13" t="s">
        <v>33</v>
      </c>
      <c r="B65" s="13">
        <v>250.0</v>
      </c>
      <c r="C65" s="13" t="s">
        <v>6</v>
      </c>
      <c r="D65" s="13" t="s">
        <v>7</v>
      </c>
      <c r="E65" s="13">
        <v>12.0</v>
      </c>
      <c r="F65" s="11" t="s">
        <v>13</v>
      </c>
      <c r="G65" s="12" t="str">
        <f t="shared" si="1"/>
        <v>29.27400468</v>
      </c>
    </row>
    <row r="66">
      <c r="A66" s="13" t="s">
        <v>115</v>
      </c>
      <c r="B66" s="13">
        <v>170.0</v>
      </c>
      <c r="C66" s="13" t="s">
        <v>6</v>
      </c>
      <c r="D66" s="13" t="s">
        <v>7</v>
      </c>
      <c r="E66" s="13">
        <v>12.0</v>
      </c>
      <c r="F66" s="11" t="s">
        <v>13</v>
      </c>
      <c r="G66" s="12" t="str">
        <f t="shared" si="1"/>
        <v>19.90632319</v>
      </c>
    </row>
    <row r="67">
      <c r="A67" s="13" t="s">
        <v>116</v>
      </c>
      <c r="B67" s="13">
        <v>79.0</v>
      </c>
      <c r="C67" s="13" t="s">
        <v>6</v>
      </c>
      <c r="D67" s="13" t="s">
        <v>17</v>
      </c>
      <c r="E67" s="13">
        <v>13.0</v>
      </c>
      <c r="F67" s="13" t="s">
        <v>13</v>
      </c>
      <c r="G67" s="12" t="str">
        <f t="shared" si="1"/>
        <v>9.25058548</v>
      </c>
    </row>
    <row r="68">
      <c r="A68" s="13" t="s">
        <v>117</v>
      </c>
      <c r="B68" s="13">
        <v>330.0</v>
      </c>
      <c r="C68" s="13" t="s">
        <v>6</v>
      </c>
      <c r="D68" s="13" t="s">
        <v>48</v>
      </c>
      <c r="E68" s="13">
        <v>13.0</v>
      </c>
      <c r="F68" s="13" t="s">
        <v>13</v>
      </c>
      <c r="G68" s="12" t="str">
        <f t="shared" si="1"/>
        <v>38.64168618</v>
      </c>
    </row>
    <row r="69">
      <c r="A69" s="13" t="s">
        <v>118</v>
      </c>
      <c r="B69" s="13">
        <v>99.0</v>
      </c>
      <c r="C69" s="13" t="s">
        <v>6</v>
      </c>
      <c r="D69" s="13" t="s">
        <v>17</v>
      </c>
      <c r="E69" s="13">
        <v>13.0</v>
      </c>
      <c r="F69" s="13" t="s">
        <v>13</v>
      </c>
      <c r="G69" s="12" t="str">
        <f t="shared" si="1"/>
        <v>11.59250585</v>
      </c>
    </row>
    <row r="70">
      <c r="A70" s="13" t="s">
        <v>119</v>
      </c>
      <c r="B70" s="13">
        <v>50.0</v>
      </c>
      <c r="C70" s="13" t="s">
        <v>6</v>
      </c>
      <c r="D70" s="13" t="s">
        <v>25</v>
      </c>
      <c r="E70" s="13">
        <v>13.0</v>
      </c>
      <c r="F70" s="13" t="s">
        <v>13</v>
      </c>
      <c r="G70" s="12" t="str">
        <f t="shared" si="1"/>
        <v>5.854800937</v>
      </c>
    </row>
    <row r="71">
      <c r="A71" s="13" t="s">
        <v>120</v>
      </c>
      <c r="B71" s="13">
        <v>30.0</v>
      </c>
      <c r="C71" s="13" t="s">
        <v>6</v>
      </c>
      <c r="D71" s="13" t="s">
        <v>43</v>
      </c>
      <c r="E71" s="13">
        <v>13.0</v>
      </c>
      <c r="F71" s="13" t="s">
        <v>8</v>
      </c>
      <c r="G71" s="12" t="str">
        <f t="shared" si="1"/>
        <v>3.512880562</v>
      </c>
    </row>
  </sheetData>
  <drawing r:id="rId1"/>
</worksheet>
</file>